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ôj disk\pracovne subory\___dekanat___\__medzinarodne projekty_\"/>
    </mc:Choice>
  </mc:AlternateContent>
  <xr:revisionPtr revIDLastSave="0" documentId="13_ncr:1_{2AD07155-AB08-4BA5-9A0A-983ACD676E11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rozpočet projektu" sheetId="3" r:id="rId1"/>
    <sheet name="mzdy prepoče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E7" i="6"/>
  <c r="D7" i="6"/>
  <c r="F7" i="6" s="1"/>
  <c r="G7" i="6" s="1"/>
  <c r="H7" i="6" s="1"/>
  <c r="F11" i="3"/>
  <c r="K11" i="3" s="1"/>
  <c r="F12" i="3"/>
  <c r="F13" i="3"/>
  <c r="F14" i="3"/>
  <c r="F15" i="3"/>
  <c r="I15" i="3" s="1"/>
  <c r="F16" i="3"/>
  <c r="I16" i="3" s="1"/>
  <c r="F17" i="3"/>
  <c r="I17" i="3" s="1"/>
  <c r="F18" i="3"/>
  <c r="I18" i="3" s="1"/>
  <c r="F19" i="3"/>
  <c r="I19" i="3" s="1"/>
  <c r="F20" i="3"/>
  <c r="I20" i="3" s="1"/>
  <c r="F21" i="3"/>
  <c r="I21" i="3" s="1"/>
  <c r="F10" i="3"/>
  <c r="I10" i="3" s="1"/>
  <c r="L10" i="3" s="1"/>
  <c r="D40" i="3"/>
  <c r="D48" i="3"/>
  <c r="M12" i="3"/>
  <c r="M13" i="3"/>
  <c r="M14" i="3"/>
  <c r="M15" i="3"/>
  <c r="M16" i="3"/>
  <c r="M17" i="3"/>
  <c r="M18" i="3"/>
  <c r="M19" i="3"/>
  <c r="M20" i="3"/>
  <c r="M21" i="3"/>
  <c r="M11" i="3"/>
  <c r="K13" i="3"/>
  <c r="K15" i="3"/>
  <c r="K16" i="3"/>
  <c r="I12" i="3"/>
  <c r="I13" i="3"/>
  <c r="I14" i="3"/>
  <c r="H11" i="3"/>
  <c r="J11" i="3" s="1"/>
  <c r="H12" i="3"/>
  <c r="J12" i="3" s="1"/>
  <c r="B5" i="3"/>
  <c r="B7" i="3" s="1"/>
  <c r="H10" i="3" s="1"/>
  <c r="J10" i="3" s="1"/>
  <c r="C8" i="6"/>
  <c r="E8" i="6" s="1"/>
  <c r="G41" i="3"/>
  <c r="D8" i="6" l="1"/>
  <c r="I11" i="3"/>
  <c r="K21" i="3"/>
  <c r="H19" i="3"/>
  <c r="J19" i="3" s="1"/>
  <c r="L19" i="3" s="1"/>
  <c r="H18" i="3"/>
  <c r="J18" i="3" s="1"/>
  <c r="L18" i="3" s="1"/>
  <c r="H17" i="3"/>
  <c r="J17" i="3" s="1"/>
  <c r="L17" i="3" s="1"/>
  <c r="H16" i="3"/>
  <c r="J16" i="3" s="1"/>
  <c r="L16" i="3" s="1"/>
  <c r="H15" i="3"/>
  <c r="J15" i="3" s="1"/>
  <c r="L15" i="3" s="1"/>
  <c r="L11" i="3"/>
  <c r="H14" i="3"/>
  <c r="J14" i="3" s="1"/>
  <c r="H13" i="3"/>
  <c r="J13" i="3" s="1"/>
  <c r="L13" i="3" s="1"/>
  <c r="K10" i="3"/>
  <c r="L14" i="3"/>
  <c r="H21" i="3"/>
  <c r="J21" i="3" s="1"/>
  <c r="L21" i="3" s="1"/>
  <c r="K18" i="3"/>
  <c r="L12" i="3"/>
  <c r="K20" i="3"/>
  <c r="K19" i="3"/>
  <c r="H20" i="3"/>
  <c r="J20" i="3" s="1"/>
  <c r="L20" i="3" s="1"/>
  <c r="K17" i="3"/>
  <c r="K14" i="3"/>
  <c r="K12" i="3"/>
  <c r="I22" i="3"/>
  <c r="F8" i="6" l="1"/>
  <c r="G8" i="6" s="1"/>
  <c r="H8" i="6" s="1"/>
  <c r="G40" i="3"/>
  <c r="G48" i="3"/>
  <c r="L22" i="3"/>
  <c r="J22" i="3"/>
  <c r="G39" i="3" s="1"/>
  <c r="G28" i="3" l="1"/>
  <c r="G33" i="3" s="1"/>
  <c r="G53" i="3" l="1"/>
  <c r="G47" i="3"/>
  <c r="G35" i="3"/>
  <c r="G49" i="3" l="1"/>
  <c r="G42" i="3" l="1"/>
  <c r="G43" i="3" s="1"/>
  <c r="H54" i="3" s="1"/>
</calcChain>
</file>

<file path=xl/sharedStrings.xml><?xml version="1.0" encoding="utf-8"?>
<sst xmlns="http://schemas.openxmlformats.org/spreadsheetml/2006/main" count="74" uniqueCount="69">
  <si>
    <t>A</t>
  </si>
  <si>
    <t>personal</t>
  </si>
  <si>
    <t>B</t>
  </si>
  <si>
    <t>subdodávky</t>
  </si>
  <si>
    <t>C</t>
  </si>
  <si>
    <t>materiál a služby</t>
  </si>
  <si>
    <t>D</t>
  </si>
  <si>
    <t>iné</t>
  </si>
  <si>
    <t>E</t>
  </si>
  <si>
    <t>nepriame</t>
  </si>
  <si>
    <t>25% z A+C</t>
  </si>
  <si>
    <t>F</t>
  </si>
  <si>
    <t>celkom</t>
  </si>
  <si>
    <t>25% z nepriamych</t>
  </si>
  <si>
    <t>materiál a služby:</t>
  </si>
  <si>
    <t>nepriame:</t>
  </si>
  <si>
    <t>z nepriamych</t>
  </si>
  <si>
    <t>refundovaná mzda</t>
  </si>
  <si>
    <t>max na rok:</t>
  </si>
  <si>
    <t>dní</t>
  </si>
  <si>
    <t>max na mesiac:</t>
  </si>
  <si>
    <t>denne:</t>
  </si>
  <si>
    <t>hod</t>
  </si>
  <si>
    <t>za mesiac:</t>
  </si>
  <si>
    <t>projektové odmeňovanie:</t>
  </si>
  <si>
    <t>personal - PO:</t>
  </si>
  <si>
    <t>CEPSIT</t>
  </si>
  <si>
    <t>riešiteľ 1:</t>
  </si>
  <si>
    <t>superhrubá mzda:</t>
  </si>
  <si>
    <t>účasť na projekte:</t>
  </si>
  <si>
    <t>riešiteľ 2:</t>
  </si>
  <si>
    <t>riešiteľ 3:</t>
  </si>
  <si>
    <t>riešiteľ 4:</t>
  </si>
  <si>
    <t>hodín na mesiac:</t>
  </si>
  <si>
    <t>refundovaná mzda:</t>
  </si>
  <si>
    <t>mzda uvádzaná v projekte:</t>
  </si>
  <si>
    <t>z refundu + celé PO riešiteľovi:</t>
  </si>
  <si>
    <t>zodpovedný riešiteľ:</t>
  </si>
  <si>
    <t>/hod. brutto</t>
  </si>
  <si>
    <t>riešitelia:</t>
  </si>
  <si>
    <t>vykázaný úväzok na projekte:</t>
  </si>
  <si>
    <t>odmena 2. časť = projektové odmeňovanie</t>
  </si>
  <si>
    <t>mesačný príjem v hrubom:</t>
  </si>
  <si>
    <t>odmena celkom:</t>
  </si>
  <si>
    <t>odmena 1. časť = časť refundu = 50% sumy vykázanej z projektu:</t>
  </si>
  <si>
    <t>zodp. riešiteľ:</t>
  </si>
  <si>
    <t>riešiteľ:</t>
  </si>
  <si>
    <t>navýšenie bežnej mzdy mesačne o:</t>
  </si>
  <si>
    <t>zadávajú sa žlté bunky</t>
  </si>
  <si>
    <t>riešiteľ 5:</t>
  </si>
  <si>
    <t>riešiteľ 6:</t>
  </si>
  <si>
    <t>riešiteľ 7:</t>
  </si>
  <si>
    <t>riešiteľ 8:</t>
  </si>
  <si>
    <t>riešiteľ 9:</t>
  </si>
  <si>
    <t>riešiteľ 10:</t>
  </si>
  <si>
    <t>počet mesiacov na projekte (trvanie projektu):</t>
  </si>
  <si>
    <t>personal celkom</t>
  </si>
  <si>
    <t>OPR+EO+OPaM:</t>
  </si>
  <si>
    <t>STU:</t>
  </si>
  <si>
    <t>len žlté bunky sa dopĺňajú!</t>
  </si>
  <si>
    <t>počet hodín na projekte maximálne</t>
  </si>
  <si>
    <t>ROZPOČET PROJEKTU</t>
  </si>
  <si>
    <t>hrubá mzda:</t>
  </si>
  <si>
    <t>riešiteľ 12:</t>
  </si>
  <si>
    <t>riešiteľ 11:</t>
  </si>
  <si>
    <t>ostatní riešitelia:</t>
  </si>
  <si>
    <t>zadajte mzdu v hrubom a percento zapojenia na projekte na výpočet výslednej mzdy vrátane odmeny za projekt:</t>
  </si>
  <si>
    <t>bežná hrubá mzda z dotačných prostriedkov (funkčný plat):</t>
  </si>
  <si>
    <t>suma 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</si>
</sst>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164" fontId="0" fillId="0" borderId="0" xfId="0" applyNumberFormat="1"/>
    <xf numFmtId="164" fontId="0" fillId="0" borderId="4" xfId="0" applyNumberFormat="1" applyBorder="1"/>
    <xf numFmtId="0" fontId="0" fillId="0" borderId="13" xfId="0" applyBorder="1"/>
    <xf numFmtId="0" fontId="0" fillId="0" borderId="14" xfId="0" applyBorder="1"/>
    <xf numFmtId="165" fontId="0" fillId="0" borderId="0" xfId="0" applyNumberFormat="1"/>
    <xf numFmtId="9" fontId="0" fillId="0" borderId="3" xfId="0" applyNumberFormat="1" applyBorder="1"/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0" fontId="0" fillId="0" borderId="17" xfId="0" applyBorder="1"/>
    <xf numFmtId="0" fontId="0" fillId="5" borderId="0" xfId="0" applyFill="1"/>
    <xf numFmtId="0" fontId="2" fillId="0" borderId="0" xfId="0" applyFont="1" applyAlignment="1">
      <alignment horizontal="right"/>
    </xf>
    <xf numFmtId="0" fontId="2" fillId="0" borderId="0" xfId="0" applyFont="1"/>
    <xf numFmtId="1" fontId="2" fillId="0" borderId="0" xfId="0" applyNumberFormat="1" applyFont="1"/>
    <xf numFmtId="165" fontId="0" fillId="5" borderId="0" xfId="1" applyNumberFormat="1" applyFont="1" applyFill="1" applyBorder="1"/>
    <xf numFmtId="0" fontId="0" fillId="0" borderId="14" xfId="0" applyBorder="1" applyAlignment="1">
      <alignment wrapText="1"/>
    </xf>
    <xf numFmtId="165" fontId="0" fillId="0" borderId="18" xfId="0" applyNumberFormat="1" applyBorder="1"/>
    <xf numFmtId="44" fontId="0" fillId="0" borderId="0" xfId="1" applyFont="1" applyBorder="1"/>
    <xf numFmtId="44" fontId="0" fillId="0" borderId="18" xfId="1" applyFont="1" applyBorder="1"/>
    <xf numFmtId="44" fontId="3" fillId="0" borderId="18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6" fillId="0" borderId="13" xfId="0" applyFont="1" applyBorder="1"/>
    <xf numFmtId="0" fontId="7" fillId="0" borderId="13" xfId="0" applyFont="1" applyBorder="1"/>
    <xf numFmtId="0" fontId="0" fillId="0" borderId="4" xfId="0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44" fontId="0" fillId="6" borderId="4" xfId="0" applyNumberFormat="1" applyFill="1" applyBorder="1" applyAlignment="1">
      <alignment horizontal="center" vertical="center"/>
    </xf>
    <xf numFmtId="165" fontId="0" fillId="5" borderId="7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19" xfId="0" applyBorder="1"/>
    <xf numFmtId="0" fontId="0" fillId="7" borderId="9" xfId="0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 wrapText="1"/>
    </xf>
    <xf numFmtId="9" fontId="0" fillId="5" borderId="21" xfId="2" applyFont="1" applyFill="1" applyBorder="1" applyAlignment="1">
      <alignment horizontal="center" vertical="center"/>
    </xf>
    <xf numFmtId="9" fontId="0" fillId="5" borderId="23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44" fontId="0" fillId="6" borderId="7" xfId="0" applyNumberForma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9" fontId="0" fillId="0" borderId="14" xfId="2" applyFont="1" applyBorder="1"/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2" fillId="0" borderId="0" xfId="0" applyFont="1" applyBorder="1"/>
    <xf numFmtId="6" fontId="0" fillId="0" borderId="0" xfId="0" applyNumberFormat="1" applyBorder="1"/>
    <xf numFmtId="0" fontId="0" fillId="0" borderId="0" xfId="0" applyBorder="1" applyAlignment="1">
      <alignment wrapText="1"/>
    </xf>
    <xf numFmtId="0" fontId="0" fillId="5" borderId="14" xfId="0" applyFill="1" applyBorder="1"/>
    <xf numFmtId="164" fontId="9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9" fontId="0" fillId="5" borderId="0" xfId="0" applyNumberFormat="1" applyFill="1" applyBorder="1"/>
    <xf numFmtId="2" fontId="0" fillId="0" borderId="0" xfId="0" applyNumberFormat="1" applyBorder="1"/>
    <xf numFmtId="165" fontId="0" fillId="0" borderId="0" xfId="0" applyNumberFormat="1" applyBorder="1"/>
    <xf numFmtId="165" fontId="4" fillId="0" borderId="0" xfId="0" applyNumberFormat="1" applyFont="1" applyBorder="1"/>
    <xf numFmtId="44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0" fillId="0" borderId="0" xfId="0" applyNumberFormat="1" applyBorder="1"/>
    <xf numFmtId="0" fontId="0" fillId="4" borderId="0" xfId="0" applyFill="1" applyBorder="1"/>
    <xf numFmtId="0" fontId="0" fillId="3" borderId="0" xfId="0" applyFill="1" applyBorder="1"/>
    <xf numFmtId="0" fontId="0" fillId="0" borderId="0" xfId="0" applyBorder="1" applyAlignment="1">
      <alignment horizontal="right"/>
    </xf>
    <xf numFmtId="0" fontId="0" fillId="2" borderId="0" xfId="0" applyFill="1" applyBorder="1"/>
    <xf numFmtId="165" fontId="0" fillId="0" borderId="0" xfId="1" applyNumberFormat="1" applyFont="1" applyFill="1" applyBorder="1"/>
    <xf numFmtId="0" fontId="0" fillId="0" borderId="0" xfId="0" applyFill="1" applyBorder="1"/>
    <xf numFmtId="9" fontId="0" fillId="0" borderId="0" xfId="0" applyNumberFormat="1" applyFill="1" applyBorder="1" applyAlignment="1">
      <alignment horizontal="left"/>
    </xf>
    <xf numFmtId="0" fontId="0" fillId="4" borderId="13" xfId="0" applyFill="1" applyBorder="1"/>
    <xf numFmtId="0" fontId="0" fillId="3" borderId="13" xfId="0" applyFill="1" applyBorder="1"/>
    <xf numFmtId="0" fontId="0" fillId="2" borderId="13" xfId="0" applyFill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14" xfId="0" applyBorder="1" applyAlignment="1"/>
    <xf numFmtId="164" fontId="0" fillId="4" borderId="4" xfId="0" applyNumberFormat="1" applyFill="1" applyBorder="1"/>
    <xf numFmtId="0" fontId="0" fillId="0" borderId="27" xfId="0" applyBorder="1"/>
    <xf numFmtId="164" fontId="0" fillId="0" borderId="26" xfId="0" applyNumberFormat="1" applyBorder="1"/>
    <xf numFmtId="164" fontId="0" fillId="5" borderId="26" xfId="0" applyNumberFormat="1" applyFill="1" applyBorder="1"/>
    <xf numFmtId="164" fontId="0" fillId="3" borderId="26" xfId="0" applyNumberFormat="1" applyFill="1" applyBorder="1"/>
    <xf numFmtId="164" fontId="0" fillId="2" borderId="26" xfId="0" applyNumberFormat="1" applyFill="1" applyBorder="1"/>
    <xf numFmtId="0" fontId="0" fillId="0" borderId="28" xfId="0" applyBorder="1"/>
    <xf numFmtId="9" fontId="0" fillId="0" borderId="28" xfId="0" applyNumberFormat="1" applyBorder="1"/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41B1-E6C2-49C9-8655-774E7DC0545E}">
  <dimension ref="A1:Q62"/>
  <sheetViews>
    <sheetView tabSelected="1" workbookViewId="0">
      <selection activeCell="C1" sqref="C1"/>
    </sheetView>
  </sheetViews>
  <sheetFormatPr defaultRowHeight="14.4" x14ac:dyDescent="0.55000000000000004"/>
  <cols>
    <col min="1" max="2" width="14.15625" customWidth="1"/>
    <col min="3" max="3" width="6.15625" customWidth="1"/>
    <col min="4" max="4" width="9.47265625" customWidth="1"/>
    <col min="5" max="5" width="10.62890625" customWidth="1"/>
    <col min="6" max="6" width="11.05078125" customWidth="1"/>
    <col min="9" max="9" width="11.47265625" customWidth="1"/>
    <col min="10" max="10" width="14.41796875" customWidth="1"/>
    <col min="11" max="11" width="12.41796875" customWidth="1"/>
    <col min="12" max="12" width="12" customWidth="1"/>
    <col min="13" max="13" width="13.83984375" customWidth="1"/>
  </cols>
  <sheetData>
    <row r="1" spans="1:17" x14ac:dyDescent="0.55000000000000004">
      <c r="A1" s="16" t="s">
        <v>59</v>
      </c>
      <c r="B1" s="16"/>
    </row>
    <row r="2" spans="1:17" ht="14.7" thickBot="1" x14ac:dyDescent="0.6"/>
    <row r="3" spans="1:17" x14ac:dyDescent="0.55000000000000004">
      <c r="A3" s="68" t="s">
        <v>60</v>
      </c>
      <c r="B3" s="67"/>
      <c r="C3" s="67"/>
      <c r="D3" s="51" t="s">
        <v>61</v>
      </c>
      <c r="E3" s="52"/>
      <c r="F3" s="52"/>
      <c r="G3" s="52"/>
      <c r="H3" s="52"/>
      <c r="I3" s="52"/>
      <c r="J3" s="52"/>
      <c r="K3" s="52"/>
      <c r="L3" s="52"/>
      <c r="M3" s="53"/>
    </row>
    <row r="4" spans="1:17" x14ac:dyDescent="0.55000000000000004">
      <c r="A4" s="17" t="s">
        <v>18</v>
      </c>
      <c r="B4" s="18">
        <v>215</v>
      </c>
      <c r="C4" s="61" t="s">
        <v>19</v>
      </c>
      <c r="D4" s="26"/>
      <c r="E4" s="57"/>
      <c r="F4" s="57"/>
      <c r="G4" s="57"/>
      <c r="H4" s="57"/>
      <c r="I4" s="57"/>
      <c r="J4" s="57"/>
      <c r="K4" s="57"/>
      <c r="L4" s="57"/>
      <c r="M4" s="27"/>
    </row>
    <row r="5" spans="1:17" x14ac:dyDescent="0.55000000000000004">
      <c r="A5" s="17" t="s">
        <v>20</v>
      </c>
      <c r="B5" s="19">
        <f>B4/12</f>
        <v>17.916666666666668</v>
      </c>
      <c r="C5" s="61" t="s">
        <v>19</v>
      </c>
      <c r="D5" s="28"/>
      <c r="E5" s="58"/>
      <c r="F5" s="91" t="s">
        <v>24</v>
      </c>
      <c r="G5" s="70" t="s">
        <v>37</v>
      </c>
      <c r="H5" s="71"/>
      <c r="I5" s="72">
        <v>20</v>
      </c>
      <c r="J5" s="69" t="s">
        <v>38</v>
      </c>
      <c r="K5" s="59"/>
      <c r="L5" s="59"/>
      <c r="M5" s="9"/>
    </row>
    <row r="6" spans="1:17" x14ac:dyDescent="0.55000000000000004">
      <c r="A6" s="17" t="s">
        <v>21</v>
      </c>
      <c r="B6" s="18">
        <v>7.5</v>
      </c>
      <c r="C6" s="61" t="s">
        <v>22</v>
      </c>
      <c r="D6" s="28"/>
      <c r="E6" s="58"/>
      <c r="F6" s="58"/>
      <c r="G6" s="60" t="s">
        <v>65</v>
      </c>
      <c r="H6" s="71"/>
      <c r="I6" s="72">
        <v>15</v>
      </c>
      <c r="J6" s="69" t="s">
        <v>38</v>
      </c>
      <c r="K6" s="59"/>
      <c r="L6" s="59"/>
      <c r="M6" s="9"/>
    </row>
    <row r="7" spans="1:17" x14ac:dyDescent="0.55000000000000004">
      <c r="A7" s="17" t="s">
        <v>23</v>
      </c>
      <c r="B7" s="19">
        <f>B5*B6</f>
        <v>134.375</v>
      </c>
      <c r="C7" s="61" t="s">
        <v>22</v>
      </c>
      <c r="D7" s="8"/>
      <c r="E7" s="59"/>
      <c r="F7" s="59"/>
      <c r="G7" s="59"/>
      <c r="H7" s="59"/>
      <c r="I7" s="59"/>
      <c r="J7" s="59"/>
      <c r="K7" s="59"/>
      <c r="L7" s="59"/>
      <c r="M7" s="9"/>
    </row>
    <row r="8" spans="1:17" x14ac:dyDescent="0.55000000000000004">
      <c r="A8" s="62"/>
      <c r="B8" s="62"/>
      <c r="C8" s="62"/>
      <c r="D8" s="8"/>
      <c r="E8" s="59"/>
      <c r="F8" s="59"/>
      <c r="G8" s="59"/>
      <c r="H8" s="59"/>
      <c r="I8" s="59"/>
      <c r="J8" s="59"/>
      <c r="K8" s="59"/>
      <c r="L8" s="87">
        <v>0.5</v>
      </c>
      <c r="M8" s="9"/>
    </row>
    <row r="9" spans="1:17" ht="57.6" x14ac:dyDescent="0.55000000000000004">
      <c r="A9" s="63"/>
      <c r="B9" s="63"/>
      <c r="C9" s="63"/>
      <c r="D9" s="8"/>
      <c r="E9" s="63" t="s">
        <v>62</v>
      </c>
      <c r="F9" s="63" t="s">
        <v>28</v>
      </c>
      <c r="G9" s="63" t="s">
        <v>29</v>
      </c>
      <c r="H9" s="63" t="s">
        <v>33</v>
      </c>
      <c r="I9" s="63" t="s">
        <v>34</v>
      </c>
      <c r="J9" s="63" t="s">
        <v>24</v>
      </c>
      <c r="K9" s="73" t="s">
        <v>35</v>
      </c>
      <c r="L9" s="63" t="s">
        <v>36</v>
      </c>
      <c r="M9" s="21" t="s">
        <v>55</v>
      </c>
    </row>
    <row r="10" spans="1:17" x14ac:dyDescent="0.55000000000000004">
      <c r="A10" s="23"/>
      <c r="B10" s="23"/>
      <c r="C10" s="23"/>
      <c r="D10" s="29" t="s">
        <v>27</v>
      </c>
      <c r="E10" s="20">
        <v>3600</v>
      </c>
      <c r="F10" s="85">
        <f>E10*1.362</f>
        <v>4903.2000000000007</v>
      </c>
      <c r="G10" s="74">
        <v>0.2</v>
      </c>
      <c r="H10" s="75">
        <f>G10*$B$7</f>
        <v>26.875</v>
      </c>
      <c r="I10" s="76">
        <f>F10*G10</f>
        <v>980.64000000000021</v>
      </c>
      <c r="J10" s="23">
        <f>H10*$I$5*1.362</f>
        <v>732.07500000000005</v>
      </c>
      <c r="K10" s="77">
        <f>F10+I5*B7*1.362</f>
        <v>8563.5750000000007</v>
      </c>
      <c r="L10" s="78">
        <f>I10*$L$8+J10</f>
        <v>1222.3950000000002</v>
      </c>
      <c r="M10" s="64">
        <v>18</v>
      </c>
      <c r="Q10" s="10"/>
    </row>
    <row r="11" spans="1:17" x14ac:dyDescent="0.55000000000000004">
      <c r="A11" s="23"/>
      <c r="B11" s="23"/>
      <c r="C11" s="23"/>
      <c r="D11" s="30" t="s">
        <v>30</v>
      </c>
      <c r="E11" s="20">
        <v>3000</v>
      </c>
      <c r="F11" s="85">
        <f t="shared" ref="F11:F21" si="0">E11*1.362</f>
        <v>4086.0000000000005</v>
      </c>
      <c r="G11" s="74">
        <v>0.2</v>
      </c>
      <c r="H11" s="75">
        <f t="shared" ref="H11:H21" si="1">G11*$B$7</f>
        <v>26.875</v>
      </c>
      <c r="I11" s="76">
        <f t="shared" ref="I11:I21" si="2">F11*G11</f>
        <v>817.20000000000016</v>
      </c>
      <c r="J11" s="23">
        <f>H11*$I$6*1.362</f>
        <v>549.05625000000009</v>
      </c>
      <c r="K11" s="77">
        <f>F11+$B$7*$I$6*1.362</f>
        <v>6831.28125</v>
      </c>
      <c r="L11" s="78">
        <f t="shared" ref="L11:L21" si="3">I11*$L$8+J11</f>
        <v>957.65625000000023</v>
      </c>
      <c r="M11" s="9">
        <f>$M$10</f>
        <v>18</v>
      </c>
    </row>
    <row r="12" spans="1:17" x14ac:dyDescent="0.55000000000000004">
      <c r="A12" s="23"/>
      <c r="B12" s="23"/>
      <c r="C12" s="23"/>
      <c r="D12" s="30" t="s">
        <v>31</v>
      </c>
      <c r="E12" s="20">
        <v>3000</v>
      </c>
      <c r="F12" s="85">
        <f t="shared" si="0"/>
        <v>4086.0000000000005</v>
      </c>
      <c r="G12" s="74">
        <v>0.2</v>
      </c>
      <c r="H12" s="75">
        <f t="shared" si="1"/>
        <v>26.875</v>
      </c>
      <c r="I12" s="76">
        <f t="shared" si="2"/>
        <v>817.20000000000016</v>
      </c>
      <c r="J12" s="23">
        <f>H12*$I$6*1.362</f>
        <v>549.05625000000009</v>
      </c>
      <c r="K12" s="77">
        <f>F12+$B$7*$I$6*1.362</f>
        <v>6831.28125</v>
      </c>
      <c r="L12" s="78">
        <f t="shared" si="3"/>
        <v>957.65625000000023</v>
      </c>
      <c r="M12" s="9">
        <f t="shared" ref="M12:M21" si="4">$M$10</f>
        <v>18</v>
      </c>
    </row>
    <row r="13" spans="1:17" x14ac:dyDescent="0.55000000000000004">
      <c r="A13" s="23"/>
      <c r="B13" s="23"/>
      <c r="C13" s="23"/>
      <c r="D13" s="30" t="s">
        <v>32</v>
      </c>
      <c r="E13" s="20">
        <v>3000</v>
      </c>
      <c r="F13" s="85">
        <f t="shared" si="0"/>
        <v>4086.0000000000005</v>
      </c>
      <c r="G13" s="74">
        <v>0.2</v>
      </c>
      <c r="H13" s="75">
        <f t="shared" si="1"/>
        <v>26.875</v>
      </c>
      <c r="I13" s="76">
        <f t="shared" si="2"/>
        <v>817.20000000000016</v>
      </c>
      <c r="J13" s="23">
        <f>H13*$I$6*1.362</f>
        <v>549.05625000000009</v>
      </c>
      <c r="K13" s="77">
        <f>F13+$B$7*$I$6*1.362</f>
        <v>6831.28125</v>
      </c>
      <c r="L13" s="78">
        <f t="shared" si="3"/>
        <v>957.65625000000023</v>
      </c>
      <c r="M13" s="9">
        <f t="shared" si="4"/>
        <v>18</v>
      </c>
    </row>
    <row r="14" spans="1:17" x14ac:dyDescent="0.55000000000000004">
      <c r="A14" s="23"/>
      <c r="B14" s="23"/>
      <c r="C14" s="23"/>
      <c r="D14" s="30" t="s">
        <v>49</v>
      </c>
      <c r="E14" s="20">
        <v>3000</v>
      </c>
      <c r="F14" s="85">
        <f t="shared" si="0"/>
        <v>4086.0000000000005</v>
      </c>
      <c r="G14" s="74">
        <v>0.3</v>
      </c>
      <c r="H14" s="75">
        <f t="shared" si="1"/>
        <v>40.3125</v>
      </c>
      <c r="I14" s="76">
        <f t="shared" si="2"/>
        <v>1225.8000000000002</v>
      </c>
      <c r="J14" s="23">
        <f>H14*$I$6*1.362</f>
        <v>823.58437500000002</v>
      </c>
      <c r="K14" s="77">
        <f>F14+$B$7*$I$6*1.362</f>
        <v>6831.28125</v>
      </c>
      <c r="L14" s="78">
        <f t="shared" si="3"/>
        <v>1436.484375</v>
      </c>
      <c r="M14" s="9">
        <f t="shared" si="4"/>
        <v>18</v>
      </c>
    </row>
    <row r="15" spans="1:17" x14ac:dyDescent="0.55000000000000004">
      <c r="A15" s="23"/>
      <c r="B15" s="23"/>
      <c r="C15" s="23"/>
      <c r="D15" s="30" t="s">
        <v>50</v>
      </c>
      <c r="E15" s="20">
        <v>3000</v>
      </c>
      <c r="F15" s="85">
        <f t="shared" si="0"/>
        <v>4086.0000000000005</v>
      </c>
      <c r="G15" s="74">
        <v>0.3</v>
      </c>
      <c r="H15" s="75">
        <f t="shared" si="1"/>
        <v>40.3125</v>
      </c>
      <c r="I15" s="76">
        <f t="shared" si="2"/>
        <v>1225.8000000000002</v>
      </c>
      <c r="J15" s="23">
        <f>H15*$I$6*1.362</f>
        <v>823.58437500000002</v>
      </c>
      <c r="K15" s="77">
        <f>F15+$B$7*$I$6*1.362</f>
        <v>6831.28125</v>
      </c>
      <c r="L15" s="78">
        <f t="shared" si="3"/>
        <v>1436.484375</v>
      </c>
      <c r="M15" s="9">
        <f t="shared" si="4"/>
        <v>18</v>
      </c>
    </row>
    <row r="16" spans="1:17" x14ac:dyDescent="0.55000000000000004">
      <c r="A16" s="23"/>
      <c r="B16" s="23"/>
      <c r="C16" s="23"/>
      <c r="D16" s="30" t="s">
        <v>51</v>
      </c>
      <c r="E16" s="20">
        <v>2200</v>
      </c>
      <c r="F16" s="85">
        <f t="shared" si="0"/>
        <v>2996.4</v>
      </c>
      <c r="G16" s="74">
        <v>0.3</v>
      </c>
      <c r="H16" s="75">
        <f t="shared" si="1"/>
        <v>40.3125</v>
      </c>
      <c r="I16" s="76">
        <f t="shared" si="2"/>
        <v>898.92</v>
      </c>
      <c r="J16" s="23">
        <f>H16*$I$6*1.362</f>
        <v>823.58437500000002</v>
      </c>
      <c r="K16" s="77">
        <f>F16+$B$7*$I$6*1.362</f>
        <v>5741.6812499999996</v>
      </c>
      <c r="L16" s="78">
        <f t="shared" si="3"/>
        <v>1273.0443749999999</v>
      </c>
      <c r="M16" s="9">
        <f t="shared" si="4"/>
        <v>18</v>
      </c>
    </row>
    <row r="17" spans="1:13" x14ac:dyDescent="0.55000000000000004">
      <c r="A17" s="23"/>
      <c r="B17" s="23"/>
      <c r="C17" s="23"/>
      <c r="D17" s="30" t="s">
        <v>52</v>
      </c>
      <c r="E17" s="20">
        <v>2200</v>
      </c>
      <c r="F17" s="85">
        <f t="shared" si="0"/>
        <v>2996.4</v>
      </c>
      <c r="G17" s="74">
        <v>0.1</v>
      </c>
      <c r="H17" s="75">
        <f t="shared" si="1"/>
        <v>13.4375</v>
      </c>
      <c r="I17" s="76">
        <f t="shared" si="2"/>
        <v>299.64000000000004</v>
      </c>
      <c r="J17" s="23">
        <f>H17*$I$6*1.362</f>
        <v>274.52812500000005</v>
      </c>
      <c r="K17" s="77">
        <f>F17+$B$7*$I$6*1.362</f>
        <v>5741.6812499999996</v>
      </c>
      <c r="L17" s="78">
        <f t="shared" si="3"/>
        <v>424.3481250000001</v>
      </c>
      <c r="M17" s="9">
        <f t="shared" si="4"/>
        <v>18</v>
      </c>
    </row>
    <row r="18" spans="1:13" x14ac:dyDescent="0.55000000000000004">
      <c r="A18" s="23"/>
      <c r="B18" s="23"/>
      <c r="C18" s="23"/>
      <c r="D18" s="30" t="s">
        <v>53</v>
      </c>
      <c r="E18" s="20">
        <v>2200</v>
      </c>
      <c r="F18" s="85">
        <f t="shared" si="0"/>
        <v>2996.4</v>
      </c>
      <c r="G18" s="74">
        <v>0.1</v>
      </c>
      <c r="H18" s="75">
        <f t="shared" si="1"/>
        <v>13.4375</v>
      </c>
      <c r="I18" s="76">
        <f t="shared" si="2"/>
        <v>299.64000000000004</v>
      </c>
      <c r="J18" s="23">
        <f>H18*$I$6*1.362</f>
        <v>274.52812500000005</v>
      </c>
      <c r="K18" s="77">
        <f>F18+$B$7*$I$6*1.362</f>
        <v>5741.6812499999996</v>
      </c>
      <c r="L18" s="78">
        <f t="shared" si="3"/>
        <v>424.3481250000001</v>
      </c>
      <c r="M18" s="9">
        <f t="shared" si="4"/>
        <v>18</v>
      </c>
    </row>
    <row r="19" spans="1:13" x14ac:dyDescent="0.55000000000000004">
      <c r="A19" s="23"/>
      <c r="B19" s="23"/>
      <c r="C19" s="23"/>
      <c r="D19" s="30" t="s">
        <v>54</v>
      </c>
      <c r="E19" s="20">
        <v>1800</v>
      </c>
      <c r="F19" s="85">
        <f t="shared" si="0"/>
        <v>2451.6000000000004</v>
      </c>
      <c r="G19" s="74">
        <v>0.3</v>
      </c>
      <c r="H19" s="75">
        <f t="shared" si="1"/>
        <v>40.3125</v>
      </c>
      <c r="I19" s="76">
        <f t="shared" si="2"/>
        <v>735.48000000000013</v>
      </c>
      <c r="J19" s="23">
        <f>H19*$I$6*1.362</f>
        <v>823.58437500000002</v>
      </c>
      <c r="K19" s="77">
        <f>F19+$B$7*$I$6*1.362</f>
        <v>5196.8812500000004</v>
      </c>
      <c r="L19" s="78">
        <f t="shared" si="3"/>
        <v>1191.3243750000001</v>
      </c>
      <c r="M19" s="9">
        <f t="shared" si="4"/>
        <v>18</v>
      </c>
    </row>
    <row r="20" spans="1:13" x14ac:dyDescent="0.55000000000000004">
      <c r="A20" s="23"/>
      <c r="B20" s="23"/>
      <c r="C20" s="23"/>
      <c r="D20" s="30" t="s">
        <v>64</v>
      </c>
      <c r="E20" s="20">
        <v>1800</v>
      </c>
      <c r="F20" s="85">
        <f t="shared" si="0"/>
        <v>2451.6000000000004</v>
      </c>
      <c r="G20" s="74">
        <v>0.2</v>
      </c>
      <c r="H20" s="75">
        <f t="shared" si="1"/>
        <v>26.875</v>
      </c>
      <c r="I20" s="76">
        <f t="shared" si="2"/>
        <v>490.32000000000011</v>
      </c>
      <c r="J20" s="23">
        <f>H20*$I$6*1.362</f>
        <v>549.05625000000009</v>
      </c>
      <c r="K20" s="77">
        <f>F20+$B$7*$I$6*1.362</f>
        <v>5196.8812500000004</v>
      </c>
      <c r="L20" s="78">
        <f t="shared" si="3"/>
        <v>794.21625000000017</v>
      </c>
      <c r="M20" s="9">
        <f t="shared" si="4"/>
        <v>18</v>
      </c>
    </row>
    <row r="21" spans="1:13" ht="14.7" thickBot="1" x14ac:dyDescent="0.6">
      <c r="A21" s="23"/>
      <c r="B21" s="23"/>
      <c r="C21" s="23"/>
      <c r="D21" s="30" t="s">
        <v>63</v>
      </c>
      <c r="E21" s="20">
        <v>1800</v>
      </c>
      <c r="F21" s="85">
        <f t="shared" si="0"/>
        <v>2451.6000000000004</v>
      </c>
      <c r="G21" s="74">
        <v>0.1</v>
      </c>
      <c r="H21" s="75">
        <f t="shared" si="1"/>
        <v>13.4375</v>
      </c>
      <c r="I21" s="22">
        <f t="shared" si="2"/>
        <v>245.16000000000005</v>
      </c>
      <c r="J21" s="24">
        <f>H21*$I$6*1.362</f>
        <v>274.52812500000005</v>
      </c>
      <c r="K21" s="77">
        <f>F21+$B$7*$I$6*1.362</f>
        <v>5196.8812500000004</v>
      </c>
      <c r="L21" s="25">
        <f t="shared" si="3"/>
        <v>397.10812500000009</v>
      </c>
      <c r="M21" s="9">
        <f t="shared" si="4"/>
        <v>18</v>
      </c>
    </row>
    <row r="22" spans="1:13" ht="14.7" thickTop="1" x14ac:dyDescent="0.55000000000000004">
      <c r="A22" s="59"/>
      <c r="B22" s="59"/>
      <c r="C22" s="59"/>
      <c r="D22" s="8"/>
      <c r="E22" s="59"/>
      <c r="F22" s="86"/>
      <c r="G22" s="59"/>
      <c r="H22" s="59"/>
      <c r="I22" s="76">
        <f>SUM(I10:I21)</f>
        <v>8853.0000000000018</v>
      </c>
      <c r="J22" s="76">
        <f>SUM(J10:J21)</f>
        <v>7046.2218750000002</v>
      </c>
      <c r="K22" s="59"/>
      <c r="L22" s="76">
        <f>SUM(L10:L21)</f>
        <v>11472.721875000001</v>
      </c>
      <c r="M22" s="9"/>
    </row>
    <row r="23" spans="1:13" x14ac:dyDescent="0.55000000000000004">
      <c r="A23" s="59"/>
      <c r="B23" s="59"/>
      <c r="C23" s="59"/>
      <c r="D23" s="8"/>
      <c r="E23" s="59"/>
      <c r="F23" s="59"/>
      <c r="G23" s="59"/>
      <c r="H23" s="59"/>
      <c r="I23" s="59"/>
      <c r="J23" s="59"/>
      <c r="K23" s="59"/>
      <c r="L23" s="59"/>
      <c r="M23" s="9"/>
    </row>
    <row r="24" spans="1:13" x14ac:dyDescent="0.55000000000000004">
      <c r="A24" s="59"/>
      <c r="B24" s="59"/>
      <c r="C24" s="59"/>
      <c r="D24" s="8"/>
      <c r="E24" s="59"/>
      <c r="F24" s="59"/>
      <c r="G24" s="59"/>
      <c r="H24" s="59"/>
      <c r="I24" s="59"/>
      <c r="J24" s="59"/>
      <c r="K24" s="79"/>
      <c r="L24" s="77"/>
      <c r="M24" s="9"/>
    </row>
    <row r="25" spans="1:13" x14ac:dyDescent="0.55000000000000004">
      <c r="A25" s="59"/>
      <c r="B25" s="59"/>
      <c r="C25" s="59"/>
      <c r="D25" s="8"/>
      <c r="E25" s="59"/>
      <c r="F25" s="59"/>
      <c r="G25" s="59"/>
      <c r="H25" s="59"/>
      <c r="I25" s="59"/>
      <c r="J25" s="59"/>
      <c r="K25" s="59"/>
      <c r="L25" s="59"/>
      <c r="M25" s="9"/>
    </row>
    <row r="26" spans="1:13" x14ac:dyDescent="0.55000000000000004">
      <c r="A26" s="59"/>
      <c r="B26" s="59"/>
      <c r="C26" s="59"/>
      <c r="D26" s="8"/>
      <c r="E26" s="59"/>
      <c r="F26" s="59"/>
      <c r="G26" s="59"/>
      <c r="H26" s="59"/>
      <c r="I26" s="59"/>
      <c r="J26" s="59"/>
      <c r="K26" s="59"/>
      <c r="L26" s="59"/>
      <c r="M26" s="9"/>
    </row>
    <row r="27" spans="1:13" x14ac:dyDescent="0.55000000000000004">
      <c r="A27" s="59"/>
      <c r="B27" s="59"/>
      <c r="C27" s="59"/>
      <c r="D27" s="8"/>
      <c r="E27" s="59"/>
      <c r="F27" s="59"/>
      <c r="G27" s="59"/>
      <c r="H27" s="59"/>
      <c r="I27" s="59"/>
      <c r="J27" s="59"/>
      <c r="K27" s="59"/>
      <c r="L27" s="59"/>
      <c r="M27" s="9"/>
    </row>
    <row r="28" spans="1:13" x14ac:dyDescent="0.55000000000000004">
      <c r="A28" s="59"/>
      <c r="B28" s="59"/>
      <c r="C28" s="59"/>
      <c r="D28" s="100" t="s">
        <v>0</v>
      </c>
      <c r="E28" s="95" t="s">
        <v>1</v>
      </c>
      <c r="F28" s="95"/>
      <c r="G28" s="96">
        <f>(I22+J22)*M10</f>
        <v>286185.99375000002</v>
      </c>
      <c r="H28" s="59"/>
      <c r="I28" s="59"/>
      <c r="J28" s="59"/>
      <c r="K28" s="59"/>
      <c r="L28" s="59"/>
      <c r="M28" s="9"/>
    </row>
    <row r="29" spans="1:13" x14ac:dyDescent="0.55000000000000004">
      <c r="A29" s="59"/>
      <c r="B29" s="59"/>
      <c r="C29" s="59"/>
      <c r="D29" s="100" t="s">
        <v>2</v>
      </c>
      <c r="E29" s="95" t="s">
        <v>3</v>
      </c>
      <c r="F29" s="95"/>
      <c r="G29" s="96"/>
      <c r="H29" s="59"/>
      <c r="I29" s="59"/>
      <c r="J29" s="59"/>
      <c r="K29" s="59"/>
      <c r="L29" s="59"/>
      <c r="M29" s="9"/>
    </row>
    <row r="30" spans="1:13" x14ac:dyDescent="0.55000000000000004">
      <c r="A30" s="59"/>
      <c r="B30" s="59"/>
      <c r="C30" s="59"/>
      <c r="D30" s="100" t="s">
        <v>4</v>
      </c>
      <c r="E30" s="95" t="s">
        <v>5</v>
      </c>
      <c r="F30" s="95"/>
      <c r="G30" s="97">
        <v>50000</v>
      </c>
      <c r="H30" s="59"/>
      <c r="I30" s="59"/>
      <c r="J30" s="59"/>
      <c r="K30" s="59"/>
      <c r="L30" s="59"/>
      <c r="M30" s="9"/>
    </row>
    <row r="31" spans="1:13" x14ac:dyDescent="0.55000000000000004">
      <c r="A31" s="59"/>
      <c r="B31" s="59"/>
      <c r="C31" s="59"/>
      <c r="D31" s="100" t="s">
        <v>6</v>
      </c>
      <c r="E31" s="95" t="s">
        <v>7</v>
      </c>
      <c r="F31" s="95"/>
      <c r="G31" s="96"/>
      <c r="H31" s="59"/>
      <c r="I31" s="59"/>
      <c r="J31" s="59"/>
      <c r="K31" s="59"/>
      <c r="L31" s="59"/>
      <c r="M31" s="9"/>
    </row>
    <row r="32" spans="1:13" x14ac:dyDescent="0.55000000000000004">
      <c r="A32" s="59"/>
      <c r="B32" s="59"/>
      <c r="C32" s="59"/>
      <c r="D32" s="8"/>
      <c r="E32" s="59"/>
      <c r="F32" s="59"/>
      <c r="G32" s="80"/>
      <c r="H32" s="59"/>
      <c r="I32" s="59"/>
      <c r="J32" s="59"/>
      <c r="K32" s="59"/>
      <c r="L32" s="59"/>
      <c r="M32" s="9"/>
    </row>
    <row r="33" spans="1:13" x14ac:dyDescent="0.55000000000000004">
      <c r="A33" s="59"/>
      <c r="B33" s="59"/>
      <c r="C33" s="59"/>
      <c r="D33" s="100" t="s">
        <v>8</v>
      </c>
      <c r="E33" s="95" t="s">
        <v>9</v>
      </c>
      <c r="F33" s="95" t="s">
        <v>10</v>
      </c>
      <c r="G33" s="96">
        <f>0.25*(G28+G30)</f>
        <v>84046.498437500006</v>
      </c>
      <c r="H33" s="59"/>
      <c r="I33" s="59"/>
      <c r="J33" s="59"/>
      <c r="K33" s="59"/>
      <c r="L33" s="59"/>
      <c r="M33" s="9"/>
    </row>
    <row r="34" spans="1:13" x14ac:dyDescent="0.55000000000000004">
      <c r="A34" s="59"/>
      <c r="B34" s="59"/>
      <c r="C34" s="59"/>
      <c r="D34" s="8"/>
      <c r="E34" s="59"/>
      <c r="F34" s="59"/>
      <c r="G34" s="80"/>
      <c r="H34" s="59"/>
      <c r="I34" s="59"/>
      <c r="J34" s="59"/>
      <c r="K34" s="59"/>
      <c r="L34" s="59"/>
      <c r="M34" s="9"/>
    </row>
    <row r="35" spans="1:13" x14ac:dyDescent="0.55000000000000004">
      <c r="A35" s="59"/>
      <c r="B35" s="59"/>
      <c r="C35" s="59"/>
      <c r="D35" s="100" t="s">
        <v>11</v>
      </c>
      <c r="E35" s="95" t="s">
        <v>12</v>
      </c>
      <c r="F35" s="95"/>
      <c r="G35" s="96">
        <f>SUM(G28:G34)</f>
        <v>420232.4921875</v>
      </c>
      <c r="H35" s="59"/>
      <c r="I35" s="59"/>
      <c r="J35" s="59"/>
      <c r="K35" s="59"/>
      <c r="L35" s="59"/>
      <c r="M35" s="9"/>
    </row>
    <row r="36" spans="1:13" x14ac:dyDescent="0.55000000000000004">
      <c r="A36" s="59"/>
      <c r="B36" s="59"/>
      <c r="C36" s="59"/>
      <c r="D36" s="8"/>
      <c r="E36" s="59"/>
      <c r="F36" s="59"/>
      <c r="G36" s="59"/>
      <c r="H36" s="59"/>
      <c r="I36" s="59"/>
      <c r="J36" s="59"/>
      <c r="K36" s="59"/>
      <c r="L36" s="59"/>
      <c r="M36" s="9"/>
    </row>
    <row r="37" spans="1:13" x14ac:dyDescent="0.55000000000000004">
      <c r="A37" s="59"/>
      <c r="B37" s="59"/>
      <c r="C37" s="59"/>
      <c r="D37" s="8"/>
      <c r="E37" s="59"/>
      <c r="F37" s="59"/>
      <c r="G37" s="59"/>
      <c r="H37" s="59"/>
      <c r="I37" s="59"/>
      <c r="J37" s="59"/>
      <c r="K37" s="59"/>
      <c r="L37" s="92"/>
      <c r="M37" s="93"/>
    </row>
    <row r="38" spans="1:13" x14ac:dyDescent="0.55000000000000004">
      <c r="A38" s="59"/>
      <c r="B38" s="59"/>
      <c r="C38" s="59"/>
      <c r="D38" s="88" t="s">
        <v>39</v>
      </c>
      <c r="E38" s="81"/>
      <c r="F38" s="81"/>
      <c r="G38" s="81"/>
      <c r="H38" s="81"/>
      <c r="I38" s="81"/>
      <c r="J38" s="59"/>
      <c r="K38" s="80"/>
      <c r="L38" s="92"/>
      <c r="M38" s="93"/>
    </row>
    <row r="39" spans="1:13" x14ac:dyDescent="0.55000000000000004">
      <c r="A39" s="59"/>
      <c r="B39" s="59"/>
      <c r="C39" s="59"/>
      <c r="D39" s="3"/>
      <c r="E39" s="4" t="s">
        <v>25</v>
      </c>
      <c r="F39" s="4"/>
      <c r="G39" s="7">
        <f>J22*M10</f>
        <v>126831.99375000001</v>
      </c>
      <c r="H39" s="65">
        <f>G39+G40</f>
        <v>206508.99375000002</v>
      </c>
      <c r="I39" s="66" t="s">
        <v>56</v>
      </c>
      <c r="J39" s="59"/>
      <c r="K39" s="59"/>
      <c r="L39" s="92"/>
      <c r="M39" s="93"/>
    </row>
    <row r="40" spans="1:13" x14ac:dyDescent="0.55000000000000004">
      <c r="A40" s="59"/>
      <c r="B40" s="59"/>
      <c r="C40" s="59"/>
      <c r="D40" s="11">
        <f>L8</f>
        <v>0.5</v>
      </c>
      <c r="E40" s="4" t="s">
        <v>17</v>
      </c>
      <c r="F40" s="4"/>
      <c r="G40" s="7">
        <f>I22*D40*M10</f>
        <v>79677.000000000015</v>
      </c>
      <c r="H40" s="65"/>
      <c r="I40" s="66"/>
      <c r="J40" s="59"/>
      <c r="K40" s="59"/>
      <c r="L40" s="92"/>
      <c r="M40" s="93"/>
    </row>
    <row r="41" spans="1:13" x14ac:dyDescent="0.55000000000000004">
      <c r="A41" s="59"/>
      <c r="B41" s="59"/>
      <c r="C41" s="59"/>
      <c r="D41" s="3"/>
      <c r="E41" s="4" t="s">
        <v>14</v>
      </c>
      <c r="F41" s="4"/>
      <c r="G41" s="7">
        <f>G30</f>
        <v>50000</v>
      </c>
      <c r="H41" s="4"/>
      <c r="I41" s="4"/>
      <c r="J41" s="59"/>
      <c r="K41" s="59"/>
      <c r="L41" s="92"/>
      <c r="M41" s="93"/>
    </row>
    <row r="42" spans="1:13" x14ac:dyDescent="0.55000000000000004">
      <c r="A42" s="59"/>
      <c r="B42" s="59"/>
      <c r="C42" s="59"/>
      <c r="D42" s="3"/>
      <c r="E42" s="4" t="s">
        <v>15</v>
      </c>
      <c r="F42" s="4"/>
      <c r="G42" s="7">
        <f>G33-G53-G47</f>
        <v>54630.223984374999</v>
      </c>
      <c r="H42" s="4"/>
      <c r="I42" s="4"/>
      <c r="J42" s="59"/>
      <c r="K42" s="59"/>
      <c r="L42" s="92"/>
      <c r="M42" s="93"/>
    </row>
    <row r="43" spans="1:13" x14ac:dyDescent="0.55000000000000004">
      <c r="A43" s="59"/>
      <c r="B43" s="59"/>
      <c r="C43" s="59"/>
      <c r="D43" s="3"/>
      <c r="E43" s="4"/>
      <c r="F43" s="4"/>
      <c r="G43" s="94">
        <f>SUM(G39:G42)</f>
        <v>311139.21773437504</v>
      </c>
      <c r="H43" s="4"/>
      <c r="I43" s="4"/>
      <c r="J43" s="59"/>
      <c r="K43" s="59"/>
      <c r="L43" s="59"/>
      <c r="M43" s="9"/>
    </row>
    <row r="44" spans="1:13" x14ac:dyDescent="0.55000000000000004">
      <c r="A44" s="59"/>
      <c r="B44" s="59"/>
      <c r="C44" s="59"/>
      <c r="D44" s="8"/>
      <c r="E44" s="59"/>
      <c r="F44" s="59"/>
      <c r="G44" s="59"/>
      <c r="H44" s="59"/>
      <c r="I44" s="59"/>
      <c r="J44" s="59"/>
      <c r="K44" s="59"/>
      <c r="L44" s="59"/>
      <c r="M44" s="9"/>
    </row>
    <row r="45" spans="1:13" x14ac:dyDescent="0.55000000000000004">
      <c r="A45" s="59"/>
      <c r="B45" s="59"/>
      <c r="C45" s="59"/>
      <c r="D45" s="8"/>
      <c r="E45" s="59"/>
      <c r="F45" s="59"/>
      <c r="G45" s="59"/>
      <c r="H45" s="59"/>
      <c r="I45" s="59"/>
      <c r="J45" s="59"/>
      <c r="K45" s="59"/>
      <c r="L45" s="59"/>
      <c r="M45" s="9"/>
    </row>
    <row r="46" spans="1:13" x14ac:dyDescent="0.55000000000000004">
      <c r="A46" s="59"/>
      <c r="B46" s="59"/>
      <c r="C46" s="59"/>
      <c r="D46" s="89" t="s">
        <v>57</v>
      </c>
      <c r="E46" s="82"/>
      <c r="F46" s="82"/>
      <c r="G46" s="82"/>
      <c r="H46" s="82"/>
      <c r="I46" s="82"/>
      <c r="J46" s="59"/>
      <c r="K46" s="80"/>
      <c r="L46" s="59"/>
      <c r="M46" s="9"/>
    </row>
    <row r="47" spans="1:13" x14ac:dyDescent="0.55000000000000004">
      <c r="A47" s="59"/>
      <c r="B47" s="59"/>
      <c r="C47" s="59"/>
      <c r="D47" s="101">
        <v>0.1</v>
      </c>
      <c r="E47" s="95" t="s">
        <v>16</v>
      </c>
      <c r="F47" s="95"/>
      <c r="G47" s="96">
        <f>D47*G33</f>
        <v>8404.6498437500013</v>
      </c>
      <c r="H47" s="59"/>
      <c r="I47" s="59"/>
      <c r="J47" s="59"/>
      <c r="K47" s="59"/>
      <c r="L47" s="59"/>
      <c r="M47" s="9"/>
    </row>
    <row r="48" spans="1:13" x14ac:dyDescent="0.55000000000000004">
      <c r="A48" s="59"/>
      <c r="B48" s="59"/>
      <c r="C48" s="59"/>
      <c r="D48" s="101">
        <f>1-L8</f>
        <v>0.5</v>
      </c>
      <c r="E48" s="95" t="s">
        <v>17</v>
      </c>
      <c r="F48" s="95"/>
      <c r="G48" s="96">
        <f>D48*I22*M10</f>
        <v>79677.000000000015</v>
      </c>
      <c r="H48" s="59"/>
      <c r="I48" s="59"/>
      <c r="J48" s="59"/>
      <c r="K48" s="59"/>
      <c r="L48" s="59"/>
      <c r="M48" s="9"/>
    </row>
    <row r="49" spans="1:13" x14ac:dyDescent="0.55000000000000004">
      <c r="A49" s="59"/>
      <c r="B49" s="59"/>
      <c r="C49" s="59"/>
      <c r="D49" s="100"/>
      <c r="E49" s="95"/>
      <c r="F49" s="95"/>
      <c r="G49" s="98">
        <f>G48+G47</f>
        <v>88081.649843750012</v>
      </c>
      <c r="H49" s="59"/>
      <c r="I49" s="59"/>
      <c r="J49" s="59"/>
      <c r="K49" s="59"/>
      <c r="L49" s="83"/>
      <c r="M49" s="50"/>
    </row>
    <row r="50" spans="1:13" x14ac:dyDescent="0.55000000000000004">
      <c r="A50" s="59"/>
      <c r="B50" s="59"/>
      <c r="C50" s="59"/>
      <c r="D50" s="8"/>
      <c r="E50" s="59"/>
      <c r="F50" s="59"/>
      <c r="G50" s="59"/>
      <c r="H50" s="59"/>
      <c r="I50" s="59"/>
      <c r="J50" s="59"/>
      <c r="K50" s="80"/>
      <c r="L50" s="59"/>
      <c r="M50" s="9"/>
    </row>
    <row r="51" spans="1:13" x14ac:dyDescent="0.55000000000000004">
      <c r="A51" s="59"/>
      <c r="B51" s="59"/>
      <c r="C51" s="59"/>
      <c r="D51" s="8"/>
      <c r="E51" s="59"/>
      <c r="F51" s="59"/>
      <c r="G51" s="59"/>
      <c r="H51" s="59"/>
      <c r="I51" s="59"/>
      <c r="J51" s="59"/>
      <c r="K51" s="59"/>
      <c r="L51" s="59"/>
      <c r="M51" s="9"/>
    </row>
    <row r="52" spans="1:13" x14ac:dyDescent="0.55000000000000004">
      <c r="A52" s="59"/>
      <c r="B52" s="59"/>
      <c r="C52" s="59"/>
      <c r="D52" s="90" t="s">
        <v>58</v>
      </c>
      <c r="E52" s="84"/>
      <c r="F52" s="84"/>
      <c r="G52" s="84"/>
      <c r="H52" s="84"/>
      <c r="I52" s="84"/>
      <c r="J52" s="59"/>
      <c r="K52" s="80"/>
      <c r="L52" s="59"/>
      <c r="M52" s="9"/>
    </row>
    <row r="53" spans="1:13" x14ac:dyDescent="0.55000000000000004">
      <c r="A53" s="59"/>
      <c r="B53" s="59"/>
      <c r="C53" s="59"/>
      <c r="D53" s="100" t="s">
        <v>26</v>
      </c>
      <c r="E53" s="95" t="s">
        <v>13</v>
      </c>
      <c r="F53" s="95"/>
      <c r="G53" s="99">
        <f>0.25*G33</f>
        <v>21011.624609375001</v>
      </c>
      <c r="H53" s="59"/>
      <c r="I53" s="59"/>
      <c r="J53" s="59"/>
      <c r="K53" s="59"/>
      <c r="L53" s="59"/>
      <c r="M53" s="9"/>
    </row>
    <row r="54" spans="1:13" ht="14.7" thickBot="1" x14ac:dyDescent="0.6">
      <c r="A54" s="59"/>
      <c r="B54" s="59"/>
      <c r="C54" s="59"/>
      <c r="D54" s="12"/>
      <c r="E54" s="13"/>
      <c r="F54" s="13"/>
      <c r="G54" s="13"/>
      <c r="H54" s="14">
        <f>G53+G49+G43</f>
        <v>420232.49218750006</v>
      </c>
      <c r="I54" s="13" t="s">
        <v>68</v>
      </c>
      <c r="J54" s="13"/>
      <c r="K54" s="13"/>
      <c r="L54" s="13"/>
      <c r="M54" s="15"/>
    </row>
    <row r="62" spans="1:13" x14ac:dyDescent="0.55000000000000004">
      <c r="K62" s="6"/>
    </row>
  </sheetData>
  <mergeCells count="3">
    <mergeCell ref="D3:M3"/>
    <mergeCell ref="H39:H40"/>
    <mergeCell ref="I39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DEFA-1FC2-4015-8133-26668AC740C5}">
  <dimension ref="A1:H8"/>
  <sheetViews>
    <sheetView workbookViewId="0">
      <selection activeCell="B14" sqref="B14"/>
    </sheetView>
  </sheetViews>
  <sheetFormatPr defaultRowHeight="14.4" x14ac:dyDescent="0.55000000000000004"/>
  <cols>
    <col min="1" max="1" width="15" customWidth="1"/>
    <col min="2" max="7" width="15.68359375" customWidth="1"/>
    <col min="8" max="8" width="15.26171875" customWidth="1"/>
  </cols>
  <sheetData>
    <row r="1" spans="1:8" x14ac:dyDescent="0.55000000000000004">
      <c r="A1" s="16" t="s">
        <v>48</v>
      </c>
      <c r="B1" s="16"/>
    </row>
    <row r="2" spans="1:8" x14ac:dyDescent="0.55000000000000004">
      <c r="A2" t="s">
        <v>66</v>
      </c>
    </row>
    <row r="4" spans="1:8" ht="14.7" thickBot="1" x14ac:dyDescent="0.6"/>
    <row r="5" spans="1:8" x14ac:dyDescent="0.55000000000000004">
      <c r="A5" s="1"/>
      <c r="B5" s="2"/>
      <c r="C5" s="42"/>
      <c r="D5" s="54"/>
      <c r="E5" s="55"/>
      <c r="F5" s="55"/>
      <c r="G5" s="55"/>
      <c r="H5" s="56"/>
    </row>
    <row r="6" spans="1:8" ht="85.5" customHeight="1" thickBot="1" x14ac:dyDescent="0.6">
      <c r="A6" s="39"/>
      <c r="B6" s="40" t="s">
        <v>67</v>
      </c>
      <c r="C6" s="43" t="s">
        <v>40</v>
      </c>
      <c r="D6" s="36" t="s">
        <v>44</v>
      </c>
      <c r="E6" s="31" t="s">
        <v>41</v>
      </c>
      <c r="F6" s="31" t="s">
        <v>43</v>
      </c>
      <c r="G6" s="33" t="s">
        <v>42</v>
      </c>
      <c r="H6" s="46" t="s">
        <v>47</v>
      </c>
    </row>
    <row r="7" spans="1:8" x14ac:dyDescent="0.55000000000000004">
      <c r="A7" s="1" t="s">
        <v>45</v>
      </c>
      <c r="B7" s="41">
        <v>3500</v>
      </c>
      <c r="C7" s="44">
        <v>0.2</v>
      </c>
      <c r="D7" s="37">
        <f>0.5*B7*C7</f>
        <v>350</v>
      </c>
      <c r="E7" s="32">
        <f>C7*134*20</f>
        <v>536</v>
      </c>
      <c r="F7" s="32">
        <f>D7+E7</f>
        <v>886</v>
      </c>
      <c r="G7" s="34">
        <f>B7+F7</f>
        <v>4386</v>
      </c>
      <c r="H7" s="48">
        <f>G7-B7</f>
        <v>886</v>
      </c>
    </row>
    <row r="8" spans="1:8" ht="14.7" thickBot="1" x14ac:dyDescent="0.6">
      <c r="A8" s="5" t="s">
        <v>46</v>
      </c>
      <c r="B8" s="35">
        <v>1500</v>
      </c>
      <c r="C8" s="45">
        <f>C7</f>
        <v>0.2</v>
      </c>
      <c r="D8" s="37">
        <f>0.5*B8*C8</f>
        <v>150</v>
      </c>
      <c r="E8" s="38">
        <f>C8*134*15</f>
        <v>402</v>
      </c>
      <c r="F8" s="38">
        <f>D8+E8</f>
        <v>552</v>
      </c>
      <c r="G8" s="47">
        <f>B8+F8</f>
        <v>2052</v>
      </c>
      <c r="H8" s="49">
        <f>G8-B8</f>
        <v>552</v>
      </c>
    </row>
  </sheetData>
  <mergeCells count="1"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projektu</vt:lpstr>
      <vt:lpstr>mzdy prepočet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Gajdošová</dc:creator>
  <cp:lastModifiedBy>Katarina Gajdosova</cp:lastModifiedBy>
  <dcterms:created xsi:type="dcterms:W3CDTF">2015-06-05T18:19:34Z</dcterms:created>
  <dcterms:modified xsi:type="dcterms:W3CDTF">2025-03-11T18:15:56Z</dcterms:modified>
</cp:coreProperties>
</file>